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JAMA188\Desktop\"/>
    </mc:Choice>
  </mc:AlternateContent>
  <xr:revisionPtr revIDLastSave="0" documentId="8_{3BE5512C-8132-4803-9588-87EBB6AD9C29}" xr6:coauthVersionLast="47" xr6:coauthVersionMax="47" xr10:uidLastSave="{00000000-0000-0000-0000-000000000000}"/>
  <bookViews>
    <workbookView xWindow="-110" yWindow="-110" windowWidth="19420" windowHeight="10420" activeTab="5" xr2:uid="{E60C4DE4-35D3-4C6F-BCE4-E39CF5BA9EFC}"/>
  </bookViews>
  <sheets>
    <sheet name="Phase 1 a" sheetId="3" r:id="rId1"/>
    <sheet name="Phase 1 b" sheetId="5" r:id="rId2"/>
    <sheet name="Phase 2" sheetId="6" r:id="rId3"/>
    <sheet name="Phase 3 a" sheetId="7" r:id="rId4"/>
    <sheet name="Phase 3 b" sheetId="8" r:id="rId5"/>
    <sheet name="Phase 4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9" l="1"/>
  <c r="J9" i="9" s="1"/>
  <c r="J12" i="9" s="1"/>
  <c r="D25" i="9"/>
  <c r="J25" i="8"/>
  <c r="J9" i="8" s="1"/>
  <c r="D25" i="8"/>
  <c r="J25" i="7"/>
  <c r="D25" i="7"/>
  <c r="D22" i="9"/>
  <c r="D21" i="9"/>
  <c r="D22" i="8"/>
  <c r="D21" i="8"/>
  <c r="D22" i="7"/>
  <c r="D21" i="7"/>
  <c r="J25" i="6"/>
  <c r="D25" i="6"/>
  <c r="D22" i="6"/>
  <c r="D23" i="6" s="1"/>
  <c r="D21" i="6"/>
  <c r="J21" i="5"/>
  <c r="D21" i="5"/>
  <c r="J22" i="5"/>
  <c r="D22" i="5"/>
  <c r="J25" i="5"/>
  <c r="D25" i="5"/>
  <c r="D46" i="9"/>
  <c r="D31" i="9"/>
  <c r="D47" i="9" s="1"/>
  <c r="J23" i="9"/>
  <c r="D23" i="9"/>
  <c r="J19" i="9"/>
  <c r="D16" i="9"/>
  <c r="D24" i="9" s="1"/>
  <c r="J15" i="9"/>
  <c r="D15" i="9"/>
  <c r="D12" i="9"/>
  <c r="D18" i="9" s="1"/>
  <c r="D8" i="9"/>
  <c r="D31" i="8"/>
  <c r="J23" i="8"/>
  <c r="D23" i="8"/>
  <c r="J15" i="8"/>
  <c r="D15" i="8"/>
  <c r="D16" i="8" s="1"/>
  <c r="D24" i="8" s="1"/>
  <c r="D12" i="8"/>
  <c r="D18" i="8" s="1"/>
  <c r="D19" i="8" s="1"/>
  <c r="D8" i="8"/>
  <c r="D31" i="7"/>
  <c r="J23" i="7"/>
  <c r="D23" i="7"/>
  <c r="J15" i="7"/>
  <c r="D15" i="7"/>
  <c r="D16" i="7" s="1"/>
  <c r="D24" i="7" s="1"/>
  <c r="D12" i="7"/>
  <c r="D18" i="7" s="1"/>
  <c r="D19" i="7" s="1"/>
  <c r="D8" i="7"/>
  <c r="J23" i="6"/>
  <c r="J15" i="6"/>
  <c r="D15" i="6"/>
  <c r="D8" i="6"/>
  <c r="D12" i="6" s="1"/>
  <c r="J23" i="5"/>
  <c r="D23" i="5"/>
  <c r="J15" i="5"/>
  <c r="D15" i="5"/>
  <c r="D8" i="5"/>
  <c r="J8" i="3"/>
  <c r="J9" i="3" s="1"/>
  <c r="D8" i="3"/>
  <c r="D9" i="3" s="1"/>
  <c r="D31" i="3"/>
  <c r="J23" i="3"/>
  <c r="D23" i="3"/>
  <c r="J15" i="3"/>
  <c r="D15" i="3"/>
  <c r="J12" i="3"/>
  <c r="J13" i="3" s="1"/>
  <c r="D12" i="3"/>
  <c r="D13" i="3" s="1"/>
  <c r="D31" i="5" l="1"/>
  <c r="D9" i="5"/>
  <c r="D11" i="5" s="1"/>
  <c r="D12" i="5" s="1"/>
  <c r="D13" i="5" s="1"/>
  <c r="D16" i="5" s="1"/>
  <c r="D24" i="5" s="1"/>
  <c r="J18" i="3"/>
  <c r="J18" i="7" s="1"/>
  <c r="D18" i="3"/>
  <c r="D19" i="3" s="1"/>
  <c r="J16" i="9"/>
  <c r="J24" i="9" s="1"/>
  <c r="D36" i="9" s="1"/>
  <c r="D30" i="9"/>
  <c r="D32" i="9"/>
  <c r="D37" i="9" s="1"/>
  <c r="D19" i="9"/>
  <c r="D18" i="6"/>
  <c r="D30" i="3"/>
  <c r="D16" i="3"/>
  <c r="D20" i="3" s="1"/>
  <c r="J16" i="3"/>
  <c r="J17" i="5" l="1"/>
  <c r="J19" i="3"/>
  <c r="J18" i="8"/>
  <c r="D32" i="8" s="1"/>
  <c r="D37" i="8" s="1"/>
  <c r="D32" i="3"/>
  <c r="D37" i="3" s="1"/>
  <c r="J18" i="6"/>
  <c r="J18" i="5"/>
  <c r="J8" i="5"/>
  <c r="J9" i="5" s="1"/>
  <c r="J11" i="5" s="1"/>
  <c r="D18" i="5"/>
  <c r="D20" i="5" s="1"/>
  <c r="D34" i="5" s="1"/>
  <c r="D34" i="9"/>
  <c r="D19" i="6"/>
  <c r="D16" i="6"/>
  <c r="D24" i="6" s="1"/>
  <c r="J20" i="3"/>
  <c r="J24" i="3"/>
  <c r="D24" i="3"/>
  <c r="D34" i="3"/>
  <c r="D33" i="3" l="1"/>
  <c r="D38" i="3" s="1"/>
  <c r="D32" i="5"/>
  <c r="D37" i="5" s="1"/>
  <c r="J19" i="8"/>
  <c r="D19" i="5"/>
  <c r="D39" i="6"/>
  <c r="D36" i="3"/>
  <c r="D35" i="3" l="1"/>
  <c r="D39" i="3"/>
  <c r="D40" i="3" s="1"/>
  <c r="D41" i="3" s="1"/>
  <c r="J12" i="5"/>
  <c r="J13" i="5" s="1"/>
  <c r="J16" i="5" l="1"/>
  <c r="D30" i="5"/>
  <c r="D42" i="3"/>
  <c r="D33" i="5"/>
  <c r="D38" i="5" s="1"/>
  <c r="J19" i="5"/>
  <c r="J24" i="5" l="1"/>
  <c r="D36" i="5" s="1"/>
  <c r="D39" i="5" s="1"/>
  <c r="D40" i="5" s="1"/>
  <c r="D41" i="5" s="1"/>
  <c r="D33" i="7" s="1"/>
  <c r="J17" i="6"/>
  <c r="J20" i="5"/>
  <c r="J8" i="6"/>
  <c r="D35" i="5"/>
  <c r="D38" i="7" l="1"/>
  <c r="J17" i="7"/>
  <c r="D32" i="6"/>
  <c r="D40" i="6" s="1"/>
  <c r="J19" i="6"/>
  <c r="J9" i="6"/>
  <c r="J8" i="7"/>
  <c r="D42" i="5"/>
  <c r="D41" i="6"/>
  <c r="D42" i="6" l="1"/>
  <c r="J9" i="7"/>
  <c r="J11" i="7" s="1"/>
  <c r="J11" i="6"/>
  <c r="J12" i="6" s="1"/>
  <c r="J13" i="6" s="1"/>
  <c r="J16" i="6" s="1"/>
  <c r="J19" i="7"/>
  <c r="D32" i="7"/>
  <c r="D37" i="7" l="1"/>
  <c r="J11" i="8"/>
  <c r="J12" i="8" s="1"/>
  <c r="J12" i="7"/>
  <c r="J13" i="7" s="1"/>
  <c r="J20" i="6"/>
  <c r="J24" i="6"/>
  <c r="J16" i="7" l="1"/>
  <c r="D30" i="7"/>
  <c r="J13" i="8"/>
  <c r="J16" i="8" s="1"/>
  <c r="D30" i="8" l="1"/>
  <c r="J24" i="8"/>
  <c r="D36" i="8" s="1"/>
  <c r="J20" i="8"/>
  <c r="D34" i="8" s="1"/>
  <c r="J24" i="7"/>
  <c r="D36" i="7" s="1"/>
  <c r="D39" i="7" s="1"/>
  <c r="D40" i="7" s="1"/>
  <c r="J20" i="7"/>
  <c r="D34" i="7" s="1"/>
  <c r="D35" i="7" s="1"/>
  <c r="D41" i="7" l="1"/>
  <c r="D33" i="8" s="1"/>
  <c r="D35" i="8" l="1"/>
  <c r="D41" i="8"/>
  <c r="D38" i="8"/>
  <c r="D39" i="8" s="1"/>
  <c r="D40" i="8" s="1"/>
  <c r="D42" i="7"/>
  <c r="D33" i="9" l="1"/>
  <c r="D42" i="8"/>
  <c r="D51" i="9" l="1"/>
  <c r="D52" i="9" s="1"/>
  <c r="D38" i="9"/>
  <c r="D39" i="9" s="1"/>
  <c r="D40" i="9" s="1"/>
  <c r="D41" i="9" s="1"/>
  <c r="D45" i="9"/>
  <c r="D35" i="9"/>
  <c r="D48" i="9" l="1"/>
  <c r="D49" i="9" s="1"/>
  <c r="D50" i="9" s="1"/>
  <c r="D42" i="9"/>
  <c r="D53" i="9" s="1"/>
</calcChain>
</file>

<file path=xl/sharedStrings.xml><?xml version="1.0" encoding="utf-8"?>
<sst xmlns="http://schemas.openxmlformats.org/spreadsheetml/2006/main" count="1059" uniqueCount="81">
  <si>
    <t>v exhaust</t>
  </si>
  <si>
    <t>p max</t>
  </si>
  <si>
    <t>A throat</t>
  </si>
  <si>
    <t>[kg/m³]</t>
  </si>
  <si>
    <t>[bar]</t>
  </si>
  <si>
    <t>[N/m²]=[kg/(m*s²)]</t>
  </si>
  <si>
    <t>[m/s]</t>
  </si>
  <si>
    <t>[m²]</t>
  </si>
  <si>
    <t>[kg/s]</t>
  </si>
  <si>
    <t>d throat</t>
  </si>
  <si>
    <t>[m]</t>
  </si>
  <si>
    <t>[s]</t>
  </si>
  <si>
    <t>[kg]</t>
  </si>
  <si>
    <t>F thrust</t>
  </si>
  <si>
    <t>h burn</t>
  </si>
  <si>
    <t>[N]=[kg*m/s²]</t>
  </si>
  <si>
    <t>v initial</t>
  </si>
  <si>
    <t>m structure</t>
  </si>
  <si>
    <t>F drag</t>
  </si>
  <si>
    <t>c d</t>
  </si>
  <si>
    <t>[-]</t>
  </si>
  <si>
    <t>d rocket</t>
  </si>
  <si>
    <t>A rocket</t>
  </si>
  <si>
    <t>[N]</t>
  </si>
  <si>
    <t>k</t>
  </si>
  <si>
    <t>q</t>
  </si>
  <si>
    <t>g</t>
  </si>
  <si>
    <t>[m/s²]</t>
  </si>
  <si>
    <t>t free flight</t>
  </si>
  <si>
    <t>arctan</t>
  </si>
  <si>
    <t>t max altitude</t>
  </si>
  <si>
    <t>h free flight</t>
  </si>
  <si>
    <t>h max altitude</t>
  </si>
  <si>
    <t>ln</t>
  </si>
  <si>
    <t>density water</t>
  </si>
  <si>
    <t>density air</t>
  </si>
  <si>
    <t>variable</t>
  </si>
  <si>
    <t>calculated</t>
  </si>
  <si>
    <t>mass flow rate</t>
  </si>
  <si>
    <t>at 20 °C</t>
  </si>
  <si>
    <t>fixed</t>
  </si>
  <si>
    <t>best guess</t>
  </si>
  <si>
    <t>t burn booster</t>
  </si>
  <si>
    <t>Water Rocket Performance Calculation</t>
  </si>
  <si>
    <t>Booster (both are similar)</t>
  </si>
  <si>
    <t>Core stage</t>
  </si>
  <si>
    <t>from above</t>
  </si>
  <si>
    <t>Phase 2</t>
  </si>
  <si>
    <t>F gravity</t>
  </si>
  <si>
    <t>[dm³]</t>
  </si>
  <si>
    <t>F total</t>
  </si>
  <si>
    <t>v exhaust, mean</t>
  </si>
  <si>
    <t>a initial</t>
  </si>
  <si>
    <t>V booster</t>
  </si>
  <si>
    <t>V core</t>
  </si>
  <si>
    <t>Phase 1a</t>
  </si>
  <si>
    <t>volume water</t>
  </si>
  <si>
    <t>volume gas</t>
  </si>
  <si>
    <t>m water booster</t>
  </si>
  <si>
    <t>m gas booster</t>
  </si>
  <si>
    <t>m wet total</t>
  </si>
  <si>
    <t>air gas constant</t>
  </si>
  <si>
    <t>[J/kgK]=[m²/s²K]</t>
  </si>
  <si>
    <t>Temperature</t>
  </si>
  <si>
    <t>[K]</t>
  </si>
  <si>
    <t>m wet</t>
  </si>
  <si>
    <t>m dry</t>
  </si>
  <si>
    <t>Phase 1b</t>
  </si>
  <si>
    <t>v phase 1a</t>
  </si>
  <si>
    <t>h phase 1a</t>
  </si>
  <si>
    <t>v phase 1b</t>
  </si>
  <si>
    <t>h phase 1b</t>
  </si>
  <si>
    <t>v phase 2</t>
  </si>
  <si>
    <t>h phase 2</t>
  </si>
  <si>
    <t>Phase 3a</t>
  </si>
  <si>
    <t>v phase 3a</t>
  </si>
  <si>
    <t>h phase 3a</t>
  </si>
  <si>
    <t>Phase 3b</t>
  </si>
  <si>
    <t>v phase 3b</t>
  </si>
  <si>
    <t>h phase 3b</t>
  </si>
  <si>
    <t>Phase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</si>
</sst>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"/>
  </numFmts>
  <fonts count="2" x14ac:knownFonts="1"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2" borderId="0" xfId="0" applyFill="1"/>
    <xf numFmtId="0" fontId="1" fillId="0" borderId="0" xfId="0" applyFont="1"/>
    <xf numFmtId="164" fontId="1" fillId="0" borderId="0" xfId="0" applyNumberFormat="1" applyFont="1"/>
    <xf numFmtId="164" fontId="0" fillId="4" borderId="0" xfId="0" applyNumberFormat="1" applyFill="1"/>
    <xf numFmtId="164" fontId="0" fillId="3" borderId="0" xfId="0" applyNumberForma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FBCE-AF67-493A-9917-0AE63D282847}">
  <sheetPr codeName="Tabelle3"/>
  <dimension ref="A1:O43"/>
  <sheetViews>
    <sheetView topLeftCell="A9" workbookViewId="0">
      <selection activeCell="D15" sqref="D1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0.94169505109196538</v>
      </c>
      <c r="E8" t="s">
        <v>49</v>
      </c>
      <c r="H8" t="s">
        <v>56</v>
      </c>
      <c r="I8" s="3" t="s">
        <v>36</v>
      </c>
      <c r="J8" s="1">
        <f>J17/J5*1000</f>
        <v>1.7231015828491283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0.55830494890803462</v>
      </c>
      <c r="E9" t="s">
        <v>49</v>
      </c>
      <c r="H9" t="s">
        <v>57</v>
      </c>
      <c r="I9" s="3" t="s">
        <v>36</v>
      </c>
      <c r="J9" s="1">
        <f>J25-J8</f>
        <v>4.2768984171508713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7">
        <v>6.8</v>
      </c>
      <c r="E11" t="s">
        <v>4</v>
      </c>
      <c r="H11" t="s">
        <v>1</v>
      </c>
      <c r="I11" s="3" t="s">
        <v>36</v>
      </c>
      <c r="J11" s="7">
        <v>6.8</v>
      </c>
      <c r="K11" t="s">
        <v>4</v>
      </c>
      <c r="O11"/>
    </row>
    <row r="12" spans="1:15" x14ac:dyDescent="0.35">
      <c r="D12" s="1">
        <f>D11*10^5</f>
        <v>680000</v>
      </c>
      <c r="E12" t="s">
        <v>5</v>
      </c>
      <c r="I12"/>
      <c r="J12" s="1">
        <f>J11*10^5</f>
        <v>680000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SQRT(2*D12/D5)</f>
        <v>36.911413063520371</v>
      </c>
      <c r="E13" t="s">
        <v>6</v>
      </c>
      <c r="H13" t="s">
        <v>0</v>
      </c>
      <c r="I13" t="s">
        <v>37</v>
      </c>
      <c r="J13" s="1">
        <f>SQRT(2*J12/J5)</f>
        <v>36.911413063520371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1.6E-2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2.0106192982974675E-4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D13*D15*D5</f>
        <v>14.00597929385882</v>
      </c>
      <c r="E16" t="s">
        <v>8</v>
      </c>
      <c r="H16" t="s">
        <v>38</v>
      </c>
      <c r="I16" t="s">
        <v>37</v>
      </c>
      <c r="J16" s="1">
        <f>J13*J15*J5</f>
        <v>7.4081212793964006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6">
        <v>0.94</v>
      </c>
      <c r="E17" t="s">
        <v>12</v>
      </c>
      <c r="H17" t="s">
        <v>58</v>
      </c>
      <c r="I17" s="3" t="s">
        <v>36</v>
      </c>
      <c r="J17" s="6">
        <v>1.72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4.5116244388835498E-3</v>
      </c>
      <c r="E18" t="s">
        <v>12</v>
      </c>
      <c r="H18" t="s">
        <v>59</v>
      </c>
      <c r="I18" s="3" t="s">
        <v>36</v>
      </c>
      <c r="J18" s="1">
        <f>J12*J9/J7/J3/1000</f>
        <v>3.4561326134006184E-2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0.94451162443888348</v>
      </c>
      <c r="E19" t="s">
        <v>12</v>
      </c>
      <c r="H19" t="s">
        <v>60</v>
      </c>
      <c r="I19" s="3" t="s">
        <v>36</v>
      </c>
      <c r="J19" s="1">
        <f>J17+J18</f>
        <v>1.7545613261340061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D17/D16</f>
        <v>6.7114193179777182E-2</v>
      </c>
      <c r="E20" t="s">
        <v>11</v>
      </c>
      <c r="H20" t="s">
        <v>42</v>
      </c>
      <c r="I20" t="s">
        <v>37</v>
      </c>
      <c r="J20" s="1">
        <f>J17/J16</f>
        <v>0.23217762441115736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v>4.3999999999999997E-2</v>
      </c>
      <c r="E21" t="s">
        <v>12</v>
      </c>
      <c r="H21" t="s">
        <v>17</v>
      </c>
      <c r="I21" s="3" t="s">
        <v>36</v>
      </c>
      <c r="J21" s="7">
        <v>0.14699999999999999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516.98048707473629</v>
      </c>
      <c r="E24" t="s">
        <v>15</v>
      </c>
      <c r="H24" t="s">
        <v>13</v>
      </c>
      <c r="I24" t="s">
        <v>37</v>
      </c>
      <c r="J24" s="1">
        <f>J16*J13</f>
        <v>273.44422456845552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v>1.5</v>
      </c>
      <c r="E25" t="s">
        <v>49</v>
      </c>
      <c r="H25" t="s">
        <v>54</v>
      </c>
      <c r="I25" s="3" t="s">
        <v>36</v>
      </c>
      <c r="J25" s="7"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55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36.911413063520371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0.23499999999999999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3.643584575011773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D30*D32/(D32+D31)</f>
        <v>34.674983277816665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6.7114193179777182E-2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2.3271835262129312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1307.4051987179282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38.035339634852953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10.317999977862968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1259.0518591052123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324.61632194816599</v>
      </c>
      <c r="E40" t="s">
        <v>27</v>
      </c>
      <c r="I40"/>
      <c r="J40" s="1"/>
      <c r="O40"/>
    </row>
    <row r="41" spans="2:15" x14ac:dyDescent="0.35">
      <c r="B41" t="s">
        <v>68</v>
      </c>
      <c r="D41" s="1">
        <f>D40*D34</f>
        <v>21.786362540537954</v>
      </c>
      <c r="E41" t="s">
        <v>6</v>
      </c>
      <c r="I41"/>
      <c r="J41" s="1"/>
      <c r="O41"/>
    </row>
    <row r="42" spans="2:15" x14ac:dyDescent="0.35">
      <c r="B42" t="s">
        <v>69</v>
      </c>
      <c r="D42" s="1">
        <f>D41*D34</f>
        <v>1.4621741442303255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7B4FA-2CF3-4083-A847-B592F0F7A53D}">
  <sheetPr codeName="Tabelle5"/>
  <dimension ref="A1:O43"/>
  <sheetViews>
    <sheetView topLeftCell="A13" workbookViewId="0">
      <selection activeCell="D21" sqref="D21:D2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</f>
        <v>1.2228099173553719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f>D25-D8</f>
        <v>1.5</v>
      </c>
      <c r="E9" t="s">
        <v>49</v>
      </c>
      <c r="H9" t="s">
        <v>57</v>
      </c>
      <c r="I9" s="3" t="s">
        <v>36</v>
      </c>
      <c r="J9" s="1">
        <f>J25-J8</f>
        <v>4.7771900826446281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f>'Phase 1 a'!D11*('Phase 1 a'!D9/'Phase 1 b'!D9)^1.4</f>
        <v>1.7045165350780946</v>
      </c>
      <c r="E11" t="s">
        <v>4</v>
      </c>
      <c r="H11" t="s">
        <v>1</v>
      </c>
      <c r="I11" s="3" t="s">
        <v>36</v>
      </c>
      <c r="J11" s="1">
        <f>'Phase 1 a'!J11*('Phase 1 a'!J9/'Phase 1 b'!J9)^1.4</f>
        <v>5.8243557158964698</v>
      </c>
      <c r="K11" t="s">
        <v>4</v>
      </c>
      <c r="O11"/>
    </row>
    <row r="12" spans="1:15" x14ac:dyDescent="0.35">
      <c r="D12" s="1">
        <f>D11*10^5</f>
        <v>170451.65350780947</v>
      </c>
      <c r="E12" t="s">
        <v>5</v>
      </c>
      <c r="I12"/>
      <c r="J12" s="1">
        <f>J11*10^5</f>
        <v>582435.57158964698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f>SQRT(2*D12/D6)</f>
        <v>532.11115528095661</v>
      </c>
      <c r="E13" t="s">
        <v>6</v>
      </c>
      <c r="H13" t="s">
        <v>0</v>
      </c>
      <c r="I13" t="s">
        <v>37</v>
      </c>
      <c r="J13" s="1">
        <f>SQRT(2*J12/J5)</f>
        <v>34.160967378358876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0.24353651869044096</v>
      </c>
      <c r="E16" t="s">
        <v>8</v>
      </c>
      <c r="H16" t="s">
        <v>38</v>
      </c>
      <c r="I16" t="s">
        <v>37</v>
      </c>
      <c r="J16" s="1">
        <f>J13*J15*J5</f>
        <v>12.96232688074307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</f>
        <v>1.102809917355372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3.0384005632138104E-3</v>
      </c>
      <c r="E18" t="s">
        <v>12</v>
      </c>
      <c r="H18" t="s">
        <v>59</v>
      </c>
      <c r="I18" s="3" t="s">
        <v>36</v>
      </c>
      <c r="J18" s="1">
        <f>'Phase 1 a'!J18</f>
        <v>3.4561326134006184E-2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3.0384005632138104E-3</v>
      </c>
      <c r="E19" t="s">
        <v>12</v>
      </c>
      <c r="H19" t="s">
        <v>60</v>
      </c>
      <c r="I19" s="3" t="s">
        <v>36</v>
      </c>
      <c r="J19" s="1">
        <f>J17+J18</f>
        <v>1.1373712434893781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f>D18/D16</f>
        <v>1.2476159959713962E-2</v>
      </c>
      <c r="E20" t="s">
        <v>11</v>
      </c>
      <c r="H20" t="s">
        <v>42</v>
      </c>
      <c r="I20" t="s">
        <v>37</v>
      </c>
      <c r="J20" s="1">
        <f>J17/J16</f>
        <v>8.507808262370814E-2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4.3999999999999997E-2</v>
      </c>
      <c r="E21" t="s">
        <v>12</v>
      </c>
      <c r="H21" t="s">
        <v>17</v>
      </c>
      <c r="I21" s="3" t="s">
        <v>36</v>
      </c>
      <c r="J21" s="7">
        <f>'Phase 1 a'!J21</f>
        <v>0.14699999999999999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f>'Phase 1 a'!J22</f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129.58849831347283</v>
      </c>
      <c r="E24" t="s">
        <v>15</v>
      </c>
      <c r="H24" t="s">
        <v>13</v>
      </c>
      <c r="I24" t="s">
        <v>37</v>
      </c>
      <c r="J24" s="1">
        <f>J16*J13</f>
        <v>442.8056257206884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67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(D13+D13+J13)/3</f>
        <v>366.12775931342406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D21*2+J21</f>
        <v>0.23499999999999999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1.1434480446158057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a'!D41</f>
        <v>21.786362540537954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D20</f>
        <v>1.2476159959713962E-2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0.27181014399607178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D24+D24+J24</f>
        <v>701.98262234763411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13.5177507495249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2*(D33^2/2*D23*D6*D10)+D33^2/2*J23*J6*J10</f>
        <v>4.0731692331457765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684.39170236496341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496.49437643891298</v>
      </c>
      <c r="E40" t="s">
        <v>27</v>
      </c>
      <c r="I40"/>
      <c r="J40" s="1"/>
      <c r="O40"/>
    </row>
    <row r="41" spans="2:15" x14ac:dyDescent="0.35">
      <c r="B41" t="s">
        <v>70</v>
      </c>
      <c r="D41" s="1">
        <f>D33+D40*D34</f>
        <v>27.980705800088273</v>
      </c>
      <c r="E41" t="s">
        <v>6</v>
      </c>
      <c r="I41"/>
      <c r="J41" s="1"/>
      <c r="O41"/>
    </row>
    <row r="42" spans="2:15" x14ac:dyDescent="0.35">
      <c r="B42" t="s">
        <v>71</v>
      </c>
      <c r="D42" s="1">
        <f>'Phase 1 a'!D42+D41*D34</f>
        <v>1.811265905577923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F442-CAF8-4C2E-896E-5A29FFBD294D}">
  <sheetPr codeName="Tabelle6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1 a'!J17-'Phase 1 a'!D20*'Phase 1 a'!J16-'Phase 1 b'!D20*'Phase 1 b'!J16</f>
        <v>1.0610898537411213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4.9389101462588787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a'!J11*('Phase 1 a'!J9/'Phase 2'!J9)^1.4</f>
        <v>5.5591174142429605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555911.74142429605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33.374067386545065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12.663738881071653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1.6-'Phase 1 a'!J16*'Phase 1 a'!D20-'Phase 1 b'!J16*'Phase 1 b'!D20</f>
        <v>0.94108985374112142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3.4561326134006184E-2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0.97565117987512762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7.4313744351421976E-2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4.3999999999999997E-2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422.64047478249614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47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v>0.5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J17+J18</f>
        <v>0.97565117987512762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v>0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v>0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v>0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0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0</v>
      </c>
      <c r="E40" t="s">
        <v>27</v>
      </c>
      <c r="I40"/>
      <c r="J40" s="1"/>
      <c r="O40"/>
    </row>
    <row r="41" spans="2:15" x14ac:dyDescent="0.35">
      <c r="B41" t="s">
        <v>72</v>
      </c>
      <c r="D41" s="1">
        <f>'Phase 1 b'!D41</f>
        <v>27.980705800088273</v>
      </c>
      <c r="E41" t="s">
        <v>6</v>
      </c>
      <c r="I41"/>
      <c r="J41" s="1"/>
      <c r="O41"/>
    </row>
    <row r="42" spans="2:15" x14ac:dyDescent="0.35">
      <c r="B42" t="s">
        <v>73</v>
      </c>
      <c r="D42" s="1">
        <f>'Phase 1 b'!D42</f>
        <v>1.811265905577923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3DF0-C81E-4C27-9D55-78ED5723B592}">
  <sheetPr codeName="Tabelle7"/>
  <dimension ref="A1:O43"/>
  <sheetViews>
    <sheetView topLeftCell="A13" workbookViewId="0">
      <selection activeCell="D25" sqref="D25:K25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f>'Phase 2'!J8</f>
        <v>1.0610898537411213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'Phase 2'!J9</f>
        <v>4.9389101462588787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1 b'!J11*('Phase 1 b'!J9/'Phase 3 a'!J9)^1.4</f>
        <v>5.5591174142429605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555911.74142429605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SQRT(2*J12/J5)</f>
        <v>33.374067386545065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J13*J15*J5</f>
        <v>12.663738881071653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f>'Phase 2'!J17</f>
        <v>0.94108985374112142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3.4561326134006184E-2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0.97565117987512762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J17/J16</f>
        <v>7.4313744351421976E-2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4.3999999999999997E-2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422.64047478249614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74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33.374067386545065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0.97565117987512762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1 b'!D41</f>
        <v>27.980705800088273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7.4313744351421976E-2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2.0793510176001102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422.64047478249614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17.412923295445438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2.2395413093423389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402.98801017770842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226.95223856188269</v>
      </c>
      <c r="E40" t="s">
        <v>27</v>
      </c>
      <c r="I40"/>
      <c r="J40" s="1"/>
      <c r="O40"/>
    </row>
    <row r="41" spans="2:15" x14ac:dyDescent="0.35">
      <c r="B41" t="s">
        <v>75</v>
      </c>
      <c r="D41" s="1">
        <f>D33+D40*D34</f>
        <v>44.846376436558955</v>
      </c>
      <c r="E41" t="s">
        <v>6</v>
      </c>
      <c r="I41"/>
      <c r="J41" s="1"/>
      <c r="O41"/>
    </row>
    <row r="42" spans="2:15" x14ac:dyDescent="0.35">
      <c r="B42" t="s">
        <v>76</v>
      </c>
      <c r="D42" s="1">
        <f>'Phase 1 b'!D42+D41*D34</f>
        <v>5.1439680591719998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9333-6F43-4760-AAAE-0A0280BD7D4E}">
  <sheetPr codeName="Tabelle8"/>
  <dimension ref="A1:O43"/>
  <sheetViews>
    <sheetView topLeftCell="A25" workbookViewId="0">
      <selection activeCell="D41" sqref="D41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6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f>'Phase 3 a'!J11*('Phase 3 a'!J9/'Phase 3 b'!J9)^1.4</f>
        <v>4.2332865962043611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423328.65962043608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f>SQRT(2*J12/J6)</f>
        <v>838.57244977540199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0.38379765780363229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f>'Phase 1 a'!J18</f>
        <v>3.4561326134006184E-2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3.4561326134006184E-2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f>J19/J16</f>
        <v>9.0050904249366931E-2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4.3999999999999997E-2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321.84214212245337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838.57244977540199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3.4561326134006184E-2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a'!D41</f>
        <v>44.846376436558955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9.0050904249366931E-2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4.0384567504196358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321.84214212245337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8.1841256447331325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5.7530276767931419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307.90498880092713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368.94231635110128</v>
      </c>
      <c r="E40" t="s">
        <v>27</v>
      </c>
      <c r="I40"/>
      <c r="J40" s="1"/>
      <c r="O40"/>
    </row>
    <row r="41" spans="2:15" x14ac:dyDescent="0.35">
      <c r="B41" t="s">
        <v>78</v>
      </c>
      <c r="D41" s="6">
        <f>D33</f>
        <v>44.846376436558955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5.8497226559975584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DC33-77E6-46FD-A4CC-15BEE30B3D3D}">
  <sheetPr codeName="Tabelle9"/>
  <dimension ref="A1:O53"/>
  <sheetViews>
    <sheetView tabSelected="1" topLeftCell="A38" workbookViewId="0">
      <selection activeCell="D52" sqref="D52"/>
    </sheetView>
  </sheetViews>
  <sheetFormatPr baseColWidth="10" defaultColWidth="11.453125" defaultRowHeight="14.5" x14ac:dyDescent="0.35"/>
  <cols>
    <col min="9" max="9" width="12.6328125" style="1" customWidth="1"/>
    <col min="15" max="15" width="12.6328125" style="1" customWidth="1"/>
  </cols>
  <sheetData>
    <row r="1" spans="1:15" x14ac:dyDescent="0.35">
      <c r="A1" t="s">
        <v>43</v>
      </c>
    </row>
    <row r="2" spans="1:15" x14ac:dyDescent="0.35">
      <c r="D2" s="1" t="s">
        <v>44</v>
      </c>
      <c r="I2"/>
      <c r="J2" s="1" t="s">
        <v>45</v>
      </c>
      <c r="O2"/>
    </row>
    <row r="3" spans="1:15" x14ac:dyDescent="0.35">
      <c r="B3" t="s">
        <v>63</v>
      </c>
      <c r="C3" t="s">
        <v>40</v>
      </c>
      <c r="D3" s="1">
        <v>293.14999999999998</v>
      </c>
      <c r="E3" t="s">
        <v>64</v>
      </c>
      <c r="H3" t="s">
        <v>63</v>
      </c>
      <c r="I3" t="s">
        <v>40</v>
      </c>
      <c r="J3" s="1">
        <v>293.14999999999998</v>
      </c>
      <c r="K3" t="s">
        <v>64</v>
      </c>
      <c r="O3"/>
    </row>
    <row r="4" spans="1:15" x14ac:dyDescent="0.35">
      <c r="B4" t="s">
        <v>26</v>
      </c>
      <c r="C4" t="s">
        <v>40</v>
      </c>
      <c r="D4" s="1">
        <v>9.8064999999999998</v>
      </c>
      <c r="E4" t="s">
        <v>27</v>
      </c>
      <c r="H4" t="s">
        <v>26</v>
      </c>
      <c r="I4" t="s">
        <v>40</v>
      </c>
      <c r="J4" s="1">
        <v>9.8064999999999998</v>
      </c>
      <c r="K4" t="s">
        <v>27</v>
      </c>
      <c r="O4"/>
    </row>
    <row r="5" spans="1:15" x14ac:dyDescent="0.35">
      <c r="B5" t="s">
        <v>34</v>
      </c>
      <c r="C5" t="s">
        <v>40</v>
      </c>
      <c r="D5" s="1">
        <v>998.2</v>
      </c>
      <c r="E5" t="s">
        <v>3</v>
      </c>
      <c r="F5" t="s">
        <v>39</v>
      </c>
      <c r="H5" t="s">
        <v>34</v>
      </c>
      <c r="I5" t="s">
        <v>40</v>
      </c>
      <c r="J5" s="1">
        <v>998.2</v>
      </c>
      <c r="K5" t="s">
        <v>3</v>
      </c>
      <c r="L5" t="s">
        <v>39</v>
      </c>
      <c r="O5"/>
    </row>
    <row r="6" spans="1:15" x14ac:dyDescent="0.35">
      <c r="B6" t="s">
        <v>35</v>
      </c>
      <c r="C6" t="s">
        <v>40</v>
      </c>
      <c r="D6" s="1">
        <v>1.204</v>
      </c>
      <c r="E6" t="s">
        <v>3</v>
      </c>
      <c r="F6" t="s">
        <v>39</v>
      </c>
      <c r="H6" t="s">
        <v>35</v>
      </c>
      <c r="I6" t="s">
        <v>40</v>
      </c>
      <c r="J6" s="1">
        <v>1.204</v>
      </c>
      <c r="K6" t="s">
        <v>3</v>
      </c>
      <c r="L6" t="s">
        <v>39</v>
      </c>
      <c r="O6"/>
    </row>
    <row r="7" spans="1:15" x14ac:dyDescent="0.35">
      <c r="B7" t="s">
        <v>61</v>
      </c>
      <c r="C7" t="s">
        <v>40</v>
      </c>
      <c r="D7">
        <v>287.05</v>
      </c>
      <c r="E7" t="s">
        <v>62</v>
      </c>
      <c r="H7" t="s">
        <v>61</v>
      </c>
      <c r="I7" t="s">
        <v>40</v>
      </c>
      <c r="J7">
        <v>287.05</v>
      </c>
      <c r="K7" t="s">
        <v>62</v>
      </c>
      <c r="O7"/>
    </row>
    <row r="8" spans="1:15" x14ac:dyDescent="0.35">
      <c r="B8" t="s">
        <v>56</v>
      </c>
      <c r="C8" s="3" t="s">
        <v>36</v>
      </c>
      <c r="D8" s="1">
        <f>D17/D5*1000</f>
        <v>0</v>
      </c>
      <c r="E8" t="s">
        <v>49</v>
      </c>
      <c r="H8" t="s">
        <v>56</v>
      </c>
      <c r="I8" s="3" t="s">
        <v>36</v>
      </c>
      <c r="J8" s="1">
        <v>0</v>
      </c>
      <c r="K8" t="s">
        <v>49</v>
      </c>
      <c r="O8"/>
    </row>
    <row r="9" spans="1:15" x14ac:dyDescent="0.35">
      <c r="B9" t="s">
        <v>57</v>
      </c>
      <c r="C9" s="3" t="s">
        <v>36</v>
      </c>
      <c r="D9" s="1">
        <v>0</v>
      </c>
      <c r="E9" t="s">
        <v>49</v>
      </c>
      <c r="H9" t="s">
        <v>57</v>
      </c>
      <c r="I9" s="3" t="s">
        <v>36</v>
      </c>
      <c r="J9" s="1">
        <f>J25-J8</f>
        <v>6</v>
      </c>
      <c r="K9" t="s">
        <v>49</v>
      </c>
      <c r="O9"/>
    </row>
    <row r="10" spans="1:15" x14ac:dyDescent="0.35">
      <c r="B10" t="s">
        <v>19</v>
      </c>
      <c r="C10" t="s">
        <v>41</v>
      </c>
      <c r="D10" s="1">
        <v>0.5</v>
      </c>
      <c r="E10" t="s">
        <v>20</v>
      </c>
      <c r="H10" t="s">
        <v>19</v>
      </c>
      <c r="I10" t="s">
        <v>41</v>
      </c>
      <c r="J10" s="1">
        <v>0.5</v>
      </c>
      <c r="K10" t="s">
        <v>20</v>
      </c>
      <c r="O10"/>
    </row>
    <row r="11" spans="1:15" x14ac:dyDescent="0.35">
      <c r="B11" t="s">
        <v>1</v>
      </c>
      <c r="C11" s="3" t="s">
        <v>36</v>
      </c>
      <c r="D11" s="1">
        <v>1</v>
      </c>
      <c r="E11" t="s">
        <v>4</v>
      </c>
      <c r="H11" t="s">
        <v>1</v>
      </c>
      <c r="I11" s="3" t="s">
        <v>36</v>
      </c>
      <c r="J11" s="1">
        <v>1</v>
      </c>
      <c r="K11" t="s">
        <v>4</v>
      </c>
      <c r="O11"/>
    </row>
    <row r="12" spans="1:15" x14ac:dyDescent="0.35">
      <c r="D12" s="1">
        <f>D11*10^5</f>
        <v>100000</v>
      </c>
      <c r="E12" t="s">
        <v>5</v>
      </c>
      <c r="I12"/>
      <c r="J12" s="1">
        <f>J11*10^5</f>
        <v>100000</v>
      </c>
      <c r="K12" t="s">
        <v>5</v>
      </c>
      <c r="O12"/>
    </row>
    <row r="13" spans="1:15" x14ac:dyDescent="0.35">
      <c r="B13" t="s">
        <v>0</v>
      </c>
      <c r="C13" t="s">
        <v>37</v>
      </c>
      <c r="D13" s="1">
        <v>0</v>
      </c>
      <c r="E13" t="s">
        <v>6</v>
      </c>
      <c r="H13" t="s">
        <v>0</v>
      </c>
      <c r="I13" t="s">
        <v>37</v>
      </c>
      <c r="J13" s="1">
        <v>0</v>
      </c>
      <c r="K13" t="s">
        <v>6</v>
      </c>
      <c r="O13"/>
    </row>
    <row r="14" spans="1:15" x14ac:dyDescent="0.35">
      <c r="B14" t="s">
        <v>9</v>
      </c>
      <c r="C14" s="3" t="s">
        <v>36</v>
      </c>
      <c r="D14" s="7">
        <v>2.1999999999999999E-2</v>
      </c>
      <c r="E14" t="s">
        <v>10</v>
      </c>
      <c r="H14" t="s">
        <v>9</v>
      </c>
      <c r="I14" s="3" t="s">
        <v>36</v>
      </c>
      <c r="J14" s="7">
        <v>2.1999999999999999E-2</v>
      </c>
      <c r="K14" t="s">
        <v>10</v>
      </c>
      <c r="O14"/>
    </row>
    <row r="15" spans="1:15" x14ac:dyDescent="0.35">
      <c r="B15" t="s">
        <v>2</v>
      </c>
      <c r="C15" s="3" t="s">
        <v>36</v>
      </c>
      <c r="D15" s="2">
        <f>PI()*(D14/2)^2</f>
        <v>3.8013271108436493E-4</v>
      </c>
      <c r="E15" t="s">
        <v>7</v>
      </c>
      <c r="H15" t="s">
        <v>2</v>
      </c>
      <c r="I15" s="3" t="s">
        <v>36</v>
      </c>
      <c r="J15" s="2">
        <f>PI()*(J14/2)^2</f>
        <v>3.8013271108436493E-4</v>
      </c>
      <c r="K15" t="s">
        <v>7</v>
      </c>
      <c r="O15"/>
    </row>
    <row r="16" spans="1:15" x14ac:dyDescent="0.35">
      <c r="B16" t="s">
        <v>38</v>
      </c>
      <c r="C16" t="s">
        <v>37</v>
      </c>
      <c r="D16" s="1">
        <f>D13*D15*D6</f>
        <v>0</v>
      </c>
      <c r="E16" t="s">
        <v>8</v>
      </c>
      <c r="H16" t="s">
        <v>38</v>
      </c>
      <c r="I16" t="s">
        <v>37</v>
      </c>
      <c r="J16" s="1">
        <f>J13*J15*J6</f>
        <v>0</v>
      </c>
      <c r="K16" t="s">
        <v>8</v>
      </c>
      <c r="O16"/>
    </row>
    <row r="17" spans="2:15" x14ac:dyDescent="0.35">
      <c r="B17" t="s">
        <v>58</v>
      </c>
      <c r="C17" s="3" t="s">
        <v>36</v>
      </c>
      <c r="D17" s="1">
        <v>0</v>
      </c>
      <c r="E17" t="s">
        <v>12</v>
      </c>
      <c r="H17" t="s">
        <v>58</v>
      </c>
      <c r="I17" s="3" t="s">
        <v>36</v>
      </c>
      <c r="J17" s="1">
        <v>0</v>
      </c>
      <c r="K17" t="s">
        <v>12</v>
      </c>
      <c r="O17"/>
    </row>
    <row r="18" spans="2:15" x14ac:dyDescent="0.35">
      <c r="B18" t="s">
        <v>59</v>
      </c>
      <c r="C18" s="3" t="s">
        <v>36</v>
      </c>
      <c r="D18" s="1">
        <f>D12*D9/D7/D3/1000</f>
        <v>0</v>
      </c>
      <c r="E18" t="s">
        <v>12</v>
      </c>
      <c r="H18" t="s">
        <v>59</v>
      </c>
      <c r="I18" s="3" t="s">
        <v>36</v>
      </c>
      <c r="J18" s="1">
        <v>0</v>
      </c>
      <c r="K18" t="s">
        <v>12</v>
      </c>
      <c r="O18"/>
    </row>
    <row r="19" spans="2:15" x14ac:dyDescent="0.35">
      <c r="B19" t="s">
        <v>60</v>
      </c>
      <c r="C19" s="3" t="s">
        <v>36</v>
      </c>
      <c r="D19" s="1">
        <f>D17+D18</f>
        <v>0</v>
      </c>
      <c r="E19" t="s">
        <v>12</v>
      </c>
      <c r="H19" t="s">
        <v>60</v>
      </c>
      <c r="I19" s="3" t="s">
        <v>36</v>
      </c>
      <c r="J19" s="1">
        <f>J17+J18</f>
        <v>0</v>
      </c>
      <c r="K19" t="s">
        <v>12</v>
      </c>
      <c r="O19"/>
    </row>
    <row r="20" spans="2:15" x14ac:dyDescent="0.35">
      <c r="B20" t="s">
        <v>42</v>
      </c>
      <c r="C20" t="s">
        <v>37</v>
      </c>
      <c r="D20" s="1">
        <v>0</v>
      </c>
      <c r="E20" t="s">
        <v>11</v>
      </c>
      <c r="H20" t="s">
        <v>42</v>
      </c>
      <c r="I20" t="s">
        <v>37</v>
      </c>
      <c r="J20" s="1">
        <v>0</v>
      </c>
      <c r="K20" t="s">
        <v>11</v>
      </c>
      <c r="O20"/>
    </row>
    <row r="21" spans="2:15" x14ac:dyDescent="0.35">
      <c r="B21" t="s">
        <v>17</v>
      </c>
      <c r="C21" s="3" t="s">
        <v>36</v>
      </c>
      <c r="D21" s="7">
        <f>'Phase 1 a'!D21</f>
        <v>4.3999999999999997E-2</v>
      </c>
      <c r="E21" t="s">
        <v>12</v>
      </c>
      <c r="H21" t="s">
        <v>17</v>
      </c>
      <c r="I21" s="3" t="s">
        <v>36</v>
      </c>
      <c r="J21" s="7">
        <v>0.8</v>
      </c>
      <c r="K21" t="s">
        <v>12</v>
      </c>
      <c r="O21"/>
    </row>
    <row r="22" spans="2:15" x14ac:dyDescent="0.35">
      <c r="B22" t="s">
        <v>21</v>
      </c>
      <c r="C22" s="3" t="s">
        <v>36</v>
      </c>
      <c r="D22" s="7">
        <f>'Phase 1 a'!D22</f>
        <v>0.11</v>
      </c>
      <c r="E22" t="s">
        <v>10</v>
      </c>
      <c r="H22" t="s">
        <v>21</v>
      </c>
      <c r="I22" s="3" t="s">
        <v>36</v>
      </c>
      <c r="J22" s="7">
        <v>0.11</v>
      </c>
      <c r="K22" t="s">
        <v>10</v>
      </c>
      <c r="O22"/>
    </row>
    <row r="23" spans="2:15" x14ac:dyDescent="0.35">
      <c r="B23" t="s">
        <v>22</v>
      </c>
      <c r="C23" s="3" t="s">
        <v>36</v>
      </c>
      <c r="D23" s="2">
        <f>PI()*(D22/2)^2</f>
        <v>9.5033177771091243E-3</v>
      </c>
      <c r="E23" t="s">
        <v>7</v>
      </c>
      <c r="H23" t="s">
        <v>22</v>
      </c>
      <c r="I23" s="3" t="s">
        <v>36</v>
      </c>
      <c r="J23" s="2">
        <f>PI()*(J22/2)^2</f>
        <v>9.5033177771091243E-3</v>
      </c>
      <c r="K23" t="s">
        <v>7</v>
      </c>
      <c r="O23"/>
    </row>
    <row r="24" spans="2:15" x14ac:dyDescent="0.35">
      <c r="B24" t="s">
        <v>13</v>
      </c>
      <c r="C24" t="s">
        <v>37</v>
      </c>
      <c r="D24" s="1">
        <f>D16*D13</f>
        <v>0</v>
      </c>
      <c r="E24" t="s">
        <v>15</v>
      </c>
      <c r="H24" t="s">
        <v>13</v>
      </c>
      <c r="I24" t="s">
        <v>37</v>
      </c>
      <c r="J24" s="1">
        <f>J16*J13</f>
        <v>0</v>
      </c>
      <c r="K24" t="s">
        <v>15</v>
      </c>
      <c r="O24"/>
    </row>
    <row r="25" spans="2:15" x14ac:dyDescent="0.35">
      <c r="B25" t="s">
        <v>53</v>
      </c>
      <c r="C25" s="3" t="s">
        <v>36</v>
      </c>
      <c r="D25" s="7">
        <f>'Phase 1 a'!D25</f>
        <v>1.5</v>
      </c>
      <c r="E25" t="s">
        <v>49</v>
      </c>
      <c r="H25" t="s">
        <v>54</v>
      </c>
      <c r="I25" s="3" t="s">
        <v>36</v>
      </c>
      <c r="J25" s="7">
        <f>'Phase 1 a'!J25</f>
        <v>6</v>
      </c>
      <c r="K25" t="s">
        <v>49</v>
      </c>
      <c r="O25"/>
    </row>
    <row r="26" spans="2:15" x14ac:dyDescent="0.35">
      <c r="D26" s="1"/>
      <c r="I26"/>
      <c r="J26" s="1"/>
      <c r="O26"/>
    </row>
    <row r="27" spans="2:15" x14ac:dyDescent="0.35">
      <c r="D27" s="1"/>
      <c r="I27"/>
      <c r="J27" s="1"/>
      <c r="O27"/>
    </row>
    <row r="28" spans="2:15" x14ac:dyDescent="0.35">
      <c r="D28" s="1"/>
      <c r="I28"/>
      <c r="J28" s="1"/>
      <c r="O28"/>
    </row>
    <row r="29" spans="2:15" x14ac:dyDescent="0.35">
      <c r="B29" t="s">
        <v>77</v>
      </c>
      <c r="D29" s="1"/>
      <c r="I29"/>
      <c r="J29" s="1"/>
      <c r="O29"/>
    </row>
    <row r="30" spans="2:15" x14ac:dyDescent="0.35">
      <c r="B30" t="s">
        <v>51</v>
      </c>
      <c r="C30" t="s">
        <v>46</v>
      </c>
      <c r="D30" s="1">
        <f>J13</f>
        <v>0</v>
      </c>
      <c r="E30" t="s">
        <v>6</v>
      </c>
      <c r="I30"/>
      <c r="J30" s="1"/>
      <c r="O30"/>
    </row>
    <row r="31" spans="2:15" x14ac:dyDescent="0.35">
      <c r="B31" t="s">
        <v>66</v>
      </c>
      <c r="D31" s="1">
        <f>J21</f>
        <v>0.8</v>
      </c>
      <c r="E31" t="s">
        <v>12</v>
      </c>
      <c r="I31"/>
      <c r="J31" s="1"/>
      <c r="O31"/>
    </row>
    <row r="32" spans="2:15" x14ac:dyDescent="0.35">
      <c r="B32" t="s">
        <v>65</v>
      </c>
      <c r="D32" s="1">
        <f>D17*2+J17+D18*2+J18</f>
        <v>0</v>
      </c>
      <c r="E32" t="s">
        <v>12</v>
      </c>
      <c r="I32"/>
      <c r="J32" s="1"/>
      <c r="O32"/>
    </row>
    <row r="33" spans="2:15" x14ac:dyDescent="0.35">
      <c r="B33" t="s">
        <v>16</v>
      </c>
      <c r="C33" t="s">
        <v>37</v>
      </c>
      <c r="D33" s="1">
        <f>'Phase 3 b'!D41</f>
        <v>44.846376436558955</v>
      </c>
      <c r="E33" t="s">
        <v>6</v>
      </c>
      <c r="I33"/>
      <c r="J33" s="1"/>
      <c r="O33"/>
    </row>
    <row r="34" spans="2:15" x14ac:dyDescent="0.35">
      <c r="B34" t="s">
        <v>42</v>
      </c>
      <c r="C34" t="s">
        <v>37</v>
      </c>
      <c r="D34" s="1">
        <f>J20</f>
        <v>0</v>
      </c>
      <c r="E34" t="s">
        <v>11</v>
      </c>
      <c r="I34"/>
      <c r="J34" s="1"/>
      <c r="O34"/>
    </row>
    <row r="35" spans="2:15" x14ac:dyDescent="0.35">
      <c r="B35" s="4" t="s">
        <v>14</v>
      </c>
      <c r="C35" s="4" t="s">
        <v>37</v>
      </c>
      <c r="D35" s="5">
        <f>D33*D34</f>
        <v>0</v>
      </c>
      <c r="E35" t="s">
        <v>10</v>
      </c>
      <c r="I35"/>
      <c r="J35" s="1"/>
      <c r="O35"/>
    </row>
    <row r="36" spans="2:15" x14ac:dyDescent="0.35">
      <c r="B36" t="s">
        <v>13</v>
      </c>
      <c r="D36" s="1">
        <f>J24</f>
        <v>0</v>
      </c>
      <c r="E36" t="s">
        <v>23</v>
      </c>
      <c r="I36"/>
      <c r="J36" s="1"/>
      <c r="O36"/>
    </row>
    <row r="37" spans="2:15" x14ac:dyDescent="0.35">
      <c r="B37" t="s">
        <v>48</v>
      </c>
      <c r="D37" s="1">
        <f>(D31+D32)*9.8065</f>
        <v>7.8452000000000002</v>
      </c>
      <c r="E37" t="s">
        <v>23</v>
      </c>
      <c r="I37"/>
      <c r="J37" s="1"/>
      <c r="O37"/>
    </row>
    <row r="38" spans="2:15" x14ac:dyDescent="0.35">
      <c r="B38" t="s">
        <v>18</v>
      </c>
      <c r="D38" s="1">
        <f>D33^2/2*J23*J6*J10</f>
        <v>5.7530276767931419</v>
      </c>
      <c r="E38" t="s">
        <v>23</v>
      </c>
      <c r="I38"/>
      <c r="J38" s="1"/>
      <c r="O38"/>
    </row>
    <row r="39" spans="2:15" x14ac:dyDescent="0.35">
      <c r="B39" t="s">
        <v>50</v>
      </c>
      <c r="D39" s="1">
        <f>D36-D37-D38</f>
        <v>-13.598227676793142</v>
      </c>
      <c r="E39" t="s">
        <v>23</v>
      </c>
      <c r="I39"/>
      <c r="J39" s="1"/>
      <c r="O39"/>
    </row>
    <row r="40" spans="2:15" x14ac:dyDescent="0.35">
      <c r="B40" t="s">
        <v>52</v>
      </c>
      <c r="D40" s="1">
        <f>D39/(D31+D32)</f>
        <v>-16.997784595991426</v>
      </c>
      <c r="E40" t="s">
        <v>27</v>
      </c>
      <c r="I40"/>
      <c r="J40" s="1"/>
      <c r="O40"/>
    </row>
    <row r="41" spans="2:15" x14ac:dyDescent="0.35">
      <c r="B41" t="s">
        <v>78</v>
      </c>
      <c r="D41" s="1">
        <f>D33+D40*D34</f>
        <v>44.846376436558955</v>
      </c>
      <c r="E41" t="s">
        <v>6</v>
      </c>
      <c r="I41"/>
      <c r="J41" s="1"/>
      <c r="O41"/>
    </row>
    <row r="42" spans="2:15" x14ac:dyDescent="0.35">
      <c r="B42" t="s">
        <v>79</v>
      </c>
      <c r="D42" s="1">
        <f>'Phase 1 b'!D42+D41*D34</f>
        <v>1.811265905577923</v>
      </c>
      <c r="E42" t="s">
        <v>10</v>
      </c>
      <c r="I42"/>
      <c r="J42" s="1"/>
      <c r="O42"/>
    </row>
    <row r="43" spans="2:15" x14ac:dyDescent="0.35">
      <c r="D43" s="1"/>
      <c r="I43"/>
      <c r="J43" s="1"/>
      <c r="O43"/>
    </row>
    <row r="44" spans="2:15" x14ac:dyDescent="0.35">
      <c r="B44" t="s">
        <v>80</v>
      </c>
      <c r="D44" s="1"/>
    </row>
    <row r="45" spans="2:15" x14ac:dyDescent="0.35">
      <c r="B45" t="s">
        <v>18</v>
      </c>
      <c r="C45" t="s">
        <v>37</v>
      </c>
      <c r="D45" s="1">
        <f>D33^2*J23*J6*J10/2</f>
        <v>5.7530276767931419</v>
      </c>
      <c r="E45" t="s">
        <v>23</v>
      </c>
    </row>
    <row r="46" spans="2:15" x14ac:dyDescent="0.35">
      <c r="B46" t="s">
        <v>24</v>
      </c>
      <c r="C46" t="s">
        <v>37</v>
      </c>
      <c r="D46" s="1">
        <f>J23*J6*J10/2</f>
        <v>2.8604986509098464E-3</v>
      </c>
      <c r="E46" t="s">
        <v>20</v>
      </c>
    </row>
    <row r="47" spans="2:15" x14ac:dyDescent="0.35">
      <c r="B47" t="s">
        <v>25</v>
      </c>
      <c r="C47" t="s">
        <v>37</v>
      </c>
      <c r="D47" s="1">
        <f>SQRT(D31*D4/D46)</f>
        <v>52.369826632167616</v>
      </c>
      <c r="E47" t="s">
        <v>20</v>
      </c>
    </row>
    <row r="48" spans="2:15" x14ac:dyDescent="0.35">
      <c r="B48" t="s">
        <v>29</v>
      </c>
      <c r="C48" t="s">
        <v>37</v>
      </c>
      <c r="D48" s="1">
        <f>ATAN(D41/D47)</f>
        <v>0.70816325502090893</v>
      </c>
      <c r="E48" t="s">
        <v>20</v>
      </c>
    </row>
    <row r="49" spans="2:5" x14ac:dyDescent="0.35">
      <c r="B49" t="s">
        <v>28</v>
      </c>
      <c r="C49" t="s">
        <v>37</v>
      </c>
      <c r="D49" s="1">
        <f>D31/D46*1/D47*D48</f>
        <v>3.7818168452267886</v>
      </c>
      <c r="E49" t="s">
        <v>11</v>
      </c>
    </row>
    <row r="50" spans="2:5" x14ac:dyDescent="0.35">
      <c r="B50" t="s">
        <v>30</v>
      </c>
      <c r="C50" t="s">
        <v>37</v>
      </c>
      <c r="D50" s="1">
        <f>'Phase 1 a'!D20+'Phase 1 b'!D20+'Phase 3 a'!D34+'Phase 3 b'!D34+D49</f>
        <v>4.0257718469670687</v>
      </c>
      <c r="E50" t="s">
        <v>11</v>
      </c>
    </row>
    <row r="51" spans="2:5" x14ac:dyDescent="0.35">
      <c r="B51" t="s">
        <v>33</v>
      </c>
      <c r="C51" t="s">
        <v>37</v>
      </c>
      <c r="D51" s="1">
        <f>LN(1+D33^2/D47^2)</f>
        <v>0.55003758656181723</v>
      </c>
    </row>
    <row r="52" spans="2:5" x14ac:dyDescent="0.35">
      <c r="B52" t="s">
        <v>31</v>
      </c>
      <c r="C52" t="s">
        <v>37</v>
      </c>
      <c r="D52" s="1">
        <f>D31/(2*D46)*D51</f>
        <v>76.914923401465742</v>
      </c>
      <c r="E52" t="s">
        <v>10</v>
      </c>
    </row>
    <row r="53" spans="2:5" x14ac:dyDescent="0.35">
      <c r="B53" t="s">
        <v>32</v>
      </c>
      <c r="C53" t="s">
        <v>37</v>
      </c>
      <c r="D53" s="1">
        <f>D52+D34+ D42</f>
        <v>78.726189307043668</v>
      </c>
      <c r="E53" t="s">
        <v>10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Phase 1 a</vt:lpstr>
      <vt:lpstr>Phase 1 b</vt:lpstr>
      <vt:lpstr>Phase 2</vt:lpstr>
      <vt:lpstr>Phase 3 a</vt:lpstr>
      <vt:lpstr>Phase 3 b</vt:lpstr>
      <vt:lpstr>Phase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Jaeger, Markus</dc:creator>
  <cp:lastModifiedBy>Jaeger, Markus</cp:lastModifiedBy>
  <dcterms:created xsi:type="dcterms:W3CDTF">2024-04-23T02:25:01Z</dcterms:created>
  <dcterms:modified xsi:type="dcterms:W3CDTF">2025-04-08T02:58:56Z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e9ed91be-e8ce-41fe-bb5f-242c70701d76</vt:lpwstr>
  </property>
  <property fmtid="{D5CDD505-2E9C-101B-9397-08002B2CF9AE}" pid="3" name="LABEL">
    <vt:lpwstr>S</vt:lpwstr>
  </property>
  <property fmtid="{D5CDD505-2E9C-101B-9397-08002B2CF9AE}" pid="4" name="L1">
    <vt:lpwstr>C-ALL</vt:lpwstr>
  </property>
  <property fmtid="{D5CDD505-2E9C-101B-9397-08002B2CF9AE}" pid="5" name="L2">
    <vt:lpwstr>C-CS</vt:lpwstr>
  </property>
  <property fmtid="{D5CDD505-2E9C-101B-9397-08002B2CF9AE}" pid="6" name="L3">
    <vt:lpwstr>C-AD-AMB</vt:lpwstr>
  </property>
  <property fmtid="{D5CDD505-2E9C-101B-9397-08002B2CF9AE}" pid="7" name="CCAV">
    <vt:lpwstr/>
  </property>
  <property fmtid="{D5CDD505-2E9C-101B-9397-08002B2CF9AE}" pid="8" name="Visual">
    <vt:lpwstr>0</vt:lpwstr>
  </property>
</Properties>
</file>